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m\Google Drive\Business\iuvō\Investor Circle\Lead Magnet\"/>
    </mc:Choice>
  </mc:AlternateContent>
  <bookViews>
    <workbookView xWindow="0" yWindow="0" windowWidth="15360" windowHeight="8040"/>
  </bookViews>
  <sheets>
    <sheet name="Standard Purchase" sheetId="2" r:id="rId1"/>
    <sheet name="BMV Purchase" sheetId="3" r:id="rId2"/>
    <sheet name="BMV &amp; Work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19" i="4" s="1"/>
  <c r="F17" i="4"/>
  <c r="B44" i="3"/>
  <c r="B41" i="3"/>
  <c r="B42" i="3"/>
  <c r="F35" i="3"/>
  <c r="F27" i="3"/>
  <c r="F24" i="3"/>
  <c r="F22" i="3"/>
  <c r="F21" i="3"/>
  <c r="F20" i="3"/>
  <c r="F19" i="3"/>
  <c r="F18" i="3"/>
  <c r="F17" i="3"/>
  <c r="F13" i="3"/>
  <c r="F12" i="3"/>
  <c r="F11" i="3"/>
  <c r="F16" i="3"/>
  <c r="F4" i="3" l="1"/>
  <c r="F6" i="3"/>
  <c r="F4" i="4"/>
  <c r="F8" i="4" s="1"/>
  <c r="B19" i="4"/>
  <c r="F39" i="3"/>
  <c r="F33" i="3"/>
  <c r="B32" i="3"/>
  <c r="F5" i="2"/>
  <c r="B9" i="2"/>
  <c r="F33" i="4"/>
  <c r="F30" i="4" s="1"/>
  <c r="B10" i="4"/>
  <c r="B8" i="4"/>
  <c r="B5" i="4"/>
  <c r="B22" i="4" s="1"/>
  <c r="B28" i="4" s="1"/>
  <c r="C4" i="4"/>
  <c r="F30" i="3"/>
  <c r="B26" i="3"/>
  <c r="B10" i="3"/>
  <c r="B8" i="3"/>
  <c r="B40" i="3" s="1"/>
  <c r="B5" i="3"/>
  <c r="B21" i="3" s="1"/>
  <c r="C4" i="3"/>
  <c r="B31" i="2"/>
  <c r="B25" i="2"/>
  <c r="F6" i="2" s="1"/>
  <c r="F7" i="2" s="1"/>
  <c r="B7" i="2"/>
  <c r="B4" i="2"/>
  <c r="B6" i="2" s="1"/>
  <c r="F41" i="3" l="1"/>
  <c r="F42" i="3" s="1"/>
  <c r="F6" i="4"/>
  <c r="F7" i="4"/>
  <c r="B7" i="4"/>
  <c r="B7" i="3"/>
  <c r="B16" i="3" s="1"/>
  <c r="B18" i="3" s="1"/>
  <c r="B15" i="2"/>
  <c r="B20" i="2"/>
  <c r="B21" i="2" s="1"/>
  <c r="B22" i="2" s="1"/>
  <c r="B26" i="2"/>
  <c r="F11" i="4"/>
  <c r="B23" i="4"/>
  <c r="B24" i="4" s="1"/>
  <c r="B27" i="3"/>
  <c r="B22" i="3"/>
  <c r="B23" i="3" s="1"/>
  <c r="B27" i="2"/>
  <c r="B17" i="2"/>
  <c r="F9" i="2"/>
  <c r="F7" i="3" l="1"/>
  <c r="F8" i="3"/>
  <c r="F9" i="3"/>
  <c r="F12" i="4"/>
  <c r="F13" i="4" s="1"/>
  <c r="B33" i="2"/>
  <c r="B28" i="3"/>
  <c r="B34" i="3" s="1"/>
  <c r="B29" i="3"/>
  <c r="F34" i="3" s="1"/>
  <c r="B28" i="2"/>
  <c r="F36" i="3" l="1"/>
  <c r="F27" i="4"/>
  <c r="B30" i="3"/>
  <c r="B31" i="3" s="1"/>
  <c r="B35" i="3" s="1"/>
  <c r="F25" i="3"/>
  <c r="B29" i="2"/>
  <c r="B30" i="2" s="1"/>
  <c r="B34" i="2" s="1"/>
  <c r="F9" i="4"/>
  <c r="B29" i="4"/>
  <c r="F34" i="4" l="1"/>
  <c r="F36" i="4" s="1"/>
  <c r="F37" i="4" s="1"/>
  <c r="B30" i="4"/>
  <c r="B31" i="4" s="1"/>
  <c r="B32" i="4" s="1"/>
  <c r="F24" i="4"/>
  <c r="F20" i="4"/>
  <c r="F21" i="4" s="1"/>
  <c r="F22" i="4" s="1"/>
  <c r="F25" i="4" s="1"/>
  <c r="F35" i="4" l="1"/>
</calcChain>
</file>

<file path=xl/comments1.xml><?xml version="1.0" encoding="utf-8"?>
<comments xmlns="http://schemas.openxmlformats.org/spreadsheetml/2006/main">
  <authors>
    <author>Adam Johnson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Adam Johnson:</t>
        </r>
        <r>
          <rPr>
            <sz val="9"/>
            <color indexed="81"/>
            <rFont val="Tahoma"/>
            <family val="2"/>
          </rPr>
          <t xml:space="preserve">
This is the multiplier that your mortgage lender is using to estimate costs. Typically using a multiplier of 0.25 or 0.45. Your broker will be able to confirm this for you.</t>
        </r>
      </text>
    </comment>
  </commentList>
</comments>
</file>

<file path=xl/comments2.xml><?xml version="1.0" encoding="utf-8"?>
<comments xmlns="http://schemas.openxmlformats.org/spreadsheetml/2006/main">
  <authors>
    <author>Adam Johnson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Adam Johnson:</t>
        </r>
        <r>
          <rPr>
            <sz val="9"/>
            <color indexed="81"/>
            <rFont val="Tahoma"/>
            <family val="2"/>
          </rPr>
          <t xml:space="preserve">
This is the multiplier that your mortgage lender is using to estimate costs. Typically using a multiplier of 0.25 or 0.45. Your broker will be able to confirm this for you.</t>
        </r>
      </text>
    </comment>
  </commentList>
</comments>
</file>

<file path=xl/comments3.xml><?xml version="1.0" encoding="utf-8"?>
<comments xmlns="http://schemas.openxmlformats.org/spreadsheetml/2006/main">
  <authors>
    <author>Adam Johnson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Adam Johnson:</t>
        </r>
        <r>
          <rPr>
            <sz val="9"/>
            <color indexed="81"/>
            <rFont val="Tahoma"/>
            <family val="2"/>
          </rPr>
          <t xml:space="preserve">
This is the multiplier that your mortgage lender is using to estimate costs. Typically using a multiplier of 0.25 or 0.45. Your broker will be able to confirm this for you.</t>
        </r>
      </text>
    </comment>
  </commentList>
</comments>
</file>

<file path=xl/sharedStrings.xml><?xml version="1.0" encoding="utf-8"?>
<sst xmlns="http://schemas.openxmlformats.org/spreadsheetml/2006/main" count="202" uniqueCount="66">
  <si>
    <t>Purchase Price</t>
  </si>
  <si>
    <t>Mortgage</t>
  </si>
  <si>
    <t>Deposit</t>
  </si>
  <si>
    <t>Stamp Duty</t>
  </si>
  <si>
    <t>Legals</t>
  </si>
  <si>
    <t>Broker</t>
  </si>
  <si>
    <t>Mortgage Fee</t>
  </si>
  <si>
    <t>Total Setup Costs</t>
  </si>
  <si>
    <t>Rental Income</t>
  </si>
  <si>
    <t>Mortgage Payment</t>
  </si>
  <si>
    <t>Interest Rate</t>
  </si>
  <si>
    <t>Costs Multiplier</t>
  </si>
  <si>
    <t>Monthly Profit</t>
  </si>
  <si>
    <t>Annual Profit</t>
  </si>
  <si>
    <t>ROI</t>
  </si>
  <si>
    <t>Initial Purchase</t>
  </si>
  <si>
    <t>Post-Remortgage</t>
  </si>
  <si>
    <t>Equity</t>
  </si>
  <si>
    <t>Profit</t>
  </si>
  <si>
    <t>Agent Fee</t>
  </si>
  <si>
    <t>Sourcing Fee</t>
  </si>
  <si>
    <t>Margin</t>
  </si>
  <si>
    <t>If Cash Purchase</t>
  </si>
  <si>
    <t>Letting Agent</t>
  </si>
  <si>
    <t>Refurb</t>
  </si>
  <si>
    <t>My Cash Input</t>
  </si>
  <si>
    <t>Project ROI</t>
  </si>
  <si>
    <t>My ROI</t>
  </si>
  <si>
    <t>My Monthly Profit</t>
  </si>
  <si>
    <t>My Annual Profit</t>
  </si>
  <si>
    <t>My Investment Remaining</t>
  </si>
  <si>
    <t>Cash Withdrawn</t>
  </si>
  <si>
    <t>Furnish</t>
  </si>
  <si>
    <t>Gross Yield</t>
  </si>
  <si>
    <t>Total Cost</t>
  </si>
  <si>
    <t>Sale Value</t>
  </si>
  <si>
    <t>Calculation</t>
  </si>
  <si>
    <t>Input Required</t>
  </si>
  <si>
    <t>Key:</t>
  </si>
  <si>
    <t>BMV:</t>
  </si>
  <si>
    <t>Current Estimated Value</t>
  </si>
  <si>
    <t>Return On Capital Employed</t>
  </si>
  <si>
    <t>Value @ Time of Remortgage</t>
  </si>
  <si>
    <t>Remortgage</t>
  </si>
  <si>
    <t>Estimated Monthly Costs</t>
  </si>
  <si>
    <t>Rental Income Post-Remortgage</t>
  </si>
  <si>
    <t>Rate:</t>
  </si>
  <si>
    <t>Fee:</t>
  </si>
  <si>
    <t>Private Investment</t>
  </si>
  <si>
    <t>Private Interest</t>
  </si>
  <si>
    <t>Private Investment Remaining</t>
  </si>
  <si>
    <t>www.investorcircle.co.uk</t>
  </si>
  <si>
    <t>Sheet 1</t>
  </si>
  <si>
    <t>Standard Purchase</t>
  </si>
  <si>
    <t>Sheet 2</t>
  </si>
  <si>
    <t>Below Market Value (BMV) Purchase</t>
  </si>
  <si>
    <t>Sheet 3</t>
  </si>
  <si>
    <t>BMV Purchase &amp; Building Works</t>
  </si>
  <si>
    <t>Sale Instead Of Remortgage (No Tenants)</t>
  </si>
  <si>
    <t>Estimated Duration (Months)</t>
  </si>
  <si>
    <t>Minimum Achievable Rent</t>
  </si>
  <si>
    <t>Works Duration (Months)</t>
  </si>
  <si>
    <t>Total Holding Costs</t>
  </si>
  <si>
    <t>Total Invested</t>
  </si>
  <si>
    <t>Checksum vs Total Invested</t>
  </si>
  <si>
    <t>Duration (Months inc. Works)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</si>
</sst>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B132B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BF5A"/>
        <bgColor indexed="64"/>
      </patternFill>
    </fill>
    <fill>
      <patternFill patternType="solid">
        <fgColor rgb="FF8CD3D9"/>
        <bgColor indexed="64"/>
      </patternFill>
    </fill>
    <fill>
      <patternFill patternType="solid">
        <fgColor rgb="FF3A506B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4" borderId="0"/>
    <xf numFmtId="0" fontId="1" fillId="2" borderId="1" applyNumberFormat="0" applyAlignment="0" applyProtection="0"/>
    <xf numFmtId="0" fontId="4" fillId="3" borderId="1" applyNumberFormat="0" applyAlignment="0" applyProtection="0"/>
    <xf numFmtId="0" fontId="5" fillId="4" borderId="0" applyNumberFormat="0" applyFill="0" applyBorder="0" applyAlignment="0" applyProtection="0"/>
    <xf numFmtId="0" fontId="5" fillId="4" borderId="0" applyNumberFormat="0" applyFill="0" applyBorder="0" applyAlignment="0" applyProtection="0"/>
  </cellStyleXfs>
  <cellXfs count="33">
    <xf numFmtId="0" fontId="0" fillId="4" borderId="0" xfId="0"/>
    <xf numFmtId="44" fontId="1" fillId="2" borderId="1" xfId="1" applyNumberFormat="1"/>
    <xf numFmtId="44" fontId="4" fillId="3" borderId="1" xfId="2" applyNumberFormat="1"/>
    <xf numFmtId="10" fontId="1" fillId="2" borderId="1" xfId="1" applyNumberFormat="1"/>
    <xf numFmtId="10" fontId="4" fillId="3" borderId="1" xfId="2" applyNumberFormat="1"/>
    <xf numFmtId="0" fontId="1" fillId="2" borderId="1" xfId="1" applyNumberFormat="1"/>
    <xf numFmtId="0" fontId="1" fillId="2" borderId="1" xfId="1"/>
    <xf numFmtId="9" fontId="4" fillId="3" borderId="1" xfId="2" applyNumberFormat="1"/>
    <xf numFmtId="0" fontId="4" fillId="3" borderId="1" xfId="2"/>
    <xf numFmtId="164" fontId="1" fillId="2" borderId="1" xfId="1" applyNumberFormat="1"/>
    <xf numFmtId="164" fontId="4" fillId="3" borderId="1" xfId="2" applyNumberFormat="1"/>
    <xf numFmtId="0" fontId="5" fillId="4" borderId="0" xfId="0" applyFont="1" applyFill="1"/>
    <xf numFmtId="0" fontId="0" fillId="4" borderId="0" xfId="0" applyFill="1"/>
    <xf numFmtId="0" fontId="1" fillId="4" borderId="0" xfId="0" applyFont="1" applyFill="1"/>
    <xf numFmtId="0" fontId="5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5" xfId="0" applyFont="1" applyFill="1" applyBorder="1"/>
    <xf numFmtId="0" fontId="0" fillId="4" borderId="0" xfId="0" applyFont="1" applyFill="1"/>
    <xf numFmtId="44" fontId="0" fillId="4" borderId="0" xfId="0" applyNumberFormat="1" applyFill="1"/>
    <xf numFmtId="0" fontId="1" fillId="4" borderId="7" xfId="0" applyFont="1" applyFill="1" applyBorder="1"/>
    <xf numFmtId="164" fontId="0" fillId="4" borderId="0" xfId="0" applyNumberFormat="1" applyFill="1"/>
    <xf numFmtId="0" fontId="1" fillId="4" borderId="0" xfId="0" applyFont="1" applyFill="1" applyBorder="1"/>
    <xf numFmtId="0" fontId="0" fillId="4" borderId="0" xfId="0" applyNumberFormat="1" applyFill="1"/>
    <xf numFmtId="0" fontId="0" fillId="4" borderId="3" xfId="0" applyFill="1" applyBorder="1"/>
    <xf numFmtId="0" fontId="5" fillId="4" borderId="3" xfId="0" applyFont="1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ont="1" applyFill="1" applyBorder="1"/>
    <xf numFmtId="0" fontId="0" fillId="4" borderId="0" xfId="0" applyFill="1"/>
    <xf numFmtId="0" fontId="5" fillId="4" borderId="0" xfId="3" applyFill="1" applyAlignment="1">
      <alignment horizontal="center"/>
    </xf>
  </cellXfs>
  <cellStyles count="5">
    <cellStyle name="Calculation" xfId="2" builtinId="22" customBuiltin="1"/>
    <cellStyle name="Followed Hyperlink" xfId="4" builtinId="9" customBuiltin="1"/>
    <cellStyle name="Hyperlink" xfId="3" builtinId="8" customBuiltin="1"/>
    <cellStyle name="Input" xfId="1" builtinId="20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3A506B"/>
      <color rgb="FF0B132B"/>
      <color rgb="FF8CD3D9"/>
      <color rgb="FF99BF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2</xdr:row>
      <xdr:rowOff>154143</xdr:rowOff>
    </xdr:from>
    <xdr:to>
      <xdr:col>10</xdr:col>
      <xdr:colOff>1200150</xdr:colOff>
      <xdr:row>10</xdr:row>
      <xdr:rowOff>147456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1" y="535143"/>
          <a:ext cx="2743199" cy="1517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2</xdr:row>
      <xdr:rowOff>154143</xdr:rowOff>
    </xdr:from>
    <xdr:to>
      <xdr:col>10</xdr:col>
      <xdr:colOff>1200150</xdr:colOff>
      <xdr:row>10</xdr:row>
      <xdr:rowOff>147456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1" y="535143"/>
          <a:ext cx="2743199" cy="1517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2</xdr:row>
      <xdr:rowOff>154143</xdr:rowOff>
    </xdr:from>
    <xdr:to>
      <xdr:col>10</xdr:col>
      <xdr:colOff>1200150</xdr:colOff>
      <xdr:row>10</xdr:row>
      <xdr:rowOff>147456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1" y="535143"/>
          <a:ext cx="2743199" cy="1517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vestorcircle.co.uk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vestorcircle.co.uk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vestorcircle.co.uk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69" sqref="A69"/>
    </sheetView>
  </sheetViews>
  <sheetFormatPr defaultRowHeight="15" x14ac:dyDescent="0.25"/>
  <cols>
    <col min="1" max="1" width="24.85546875" style="12" bestFit="1" customWidth="1"/>
    <col min="2" max="2" width="12.5703125" style="12" bestFit="1" customWidth="1"/>
    <col min="3" max="3" width="7.140625" style="12" bestFit="1" customWidth="1"/>
    <col min="4" max="4" width="9.140625" style="12"/>
    <col min="5" max="5" width="30.140625" style="12" bestFit="1" customWidth="1"/>
    <col min="6" max="6" width="12.5703125" style="12" customWidth="1"/>
    <col min="7" max="7" width="7.140625" style="12" bestFit="1" customWidth="1"/>
    <col min="8" max="8" width="11.5703125" style="12" customWidth="1"/>
    <col min="9" max="9" width="9.140625" style="12"/>
    <col min="10" max="10" width="14.42578125" style="12" bestFit="1" customWidth="1"/>
    <col min="11" max="11" width="18.140625" style="12" customWidth="1"/>
    <col min="12" max="12" width="14.28515625" style="12" customWidth="1"/>
    <col min="13" max="13" width="7.140625" style="12" customWidth="1"/>
    <col min="14" max="14" width="25.140625" style="12" customWidth="1"/>
    <col min="15" max="15" width="12.5703125" style="12" customWidth="1"/>
    <col min="16" max="16" width="7.140625" style="12" customWidth="1"/>
    <col min="17" max="16384" width="9.140625" style="12"/>
  </cols>
  <sheetData>
    <row r="1" spans="1:16" x14ac:dyDescent="0.25">
      <c r="A1" s="11" t="s">
        <v>15</v>
      </c>
      <c r="K1" s="31"/>
      <c r="L1" s="31"/>
      <c r="M1" s="31"/>
      <c r="N1" s="31"/>
      <c r="O1" s="31"/>
      <c r="P1" s="31"/>
    </row>
    <row r="3" spans="1:16" x14ac:dyDescent="0.25">
      <c r="A3" s="13" t="s">
        <v>0</v>
      </c>
      <c r="B3" s="1">
        <v>200000</v>
      </c>
      <c r="E3" s="14" t="s">
        <v>22</v>
      </c>
      <c r="F3" s="15"/>
    </row>
    <row r="4" spans="1:16" x14ac:dyDescent="0.25">
      <c r="A4" s="13" t="s">
        <v>1</v>
      </c>
      <c r="B4" s="2">
        <f>B3*C4</f>
        <v>150000</v>
      </c>
      <c r="C4" s="3">
        <v>0.75</v>
      </c>
      <c r="E4" s="16"/>
      <c r="F4" s="17"/>
    </row>
    <row r="5" spans="1:16" x14ac:dyDescent="0.25">
      <c r="A5" s="13" t="s">
        <v>10</v>
      </c>
      <c r="B5" s="3">
        <v>0.06</v>
      </c>
      <c r="E5" s="18" t="s">
        <v>7</v>
      </c>
      <c r="F5" s="2">
        <f>B3+B7+B9+B10+B13</f>
        <v>208500</v>
      </c>
    </row>
    <row r="6" spans="1:16" x14ac:dyDescent="0.25">
      <c r="A6" s="13" t="s">
        <v>2</v>
      </c>
      <c r="B6" s="2">
        <f>B3-B4</f>
        <v>50000</v>
      </c>
      <c r="C6" s="19" t="s">
        <v>47</v>
      </c>
      <c r="E6" s="18" t="s">
        <v>12</v>
      </c>
      <c r="F6" s="2">
        <f>B19-B24-B25</f>
        <v>1000</v>
      </c>
    </row>
    <row r="7" spans="1:16" x14ac:dyDescent="0.25">
      <c r="A7" s="13" t="s">
        <v>20</v>
      </c>
      <c r="B7" s="2">
        <f>B3*C7</f>
        <v>0</v>
      </c>
      <c r="C7" s="3">
        <v>0</v>
      </c>
      <c r="E7" s="18" t="s">
        <v>13</v>
      </c>
      <c r="F7" s="2">
        <f>F6*12</f>
        <v>12000</v>
      </c>
      <c r="H7" s="20"/>
    </row>
    <row r="8" spans="1:16" x14ac:dyDescent="0.25">
      <c r="A8" s="13"/>
      <c r="E8" s="18"/>
      <c r="F8" s="17"/>
    </row>
    <row r="9" spans="1:16" x14ac:dyDescent="0.25">
      <c r="A9" s="13" t="s">
        <v>3</v>
      </c>
      <c r="B9" s="2">
        <f>SUMPRODUCT(--(B3&gt;{125000;250000;925000;1500000}), (B3-{125000;250000;925000;1500000}), {0.02;0.03;0.05;0.02})+(B3*0.03)</f>
        <v>7500</v>
      </c>
      <c r="E9" s="21" t="s">
        <v>14</v>
      </c>
      <c r="F9" s="4">
        <f>F7/F5</f>
        <v>5.7553956834532377E-2</v>
      </c>
    </row>
    <row r="10" spans="1:16" x14ac:dyDescent="0.25">
      <c r="A10" s="13" t="s">
        <v>4</v>
      </c>
      <c r="B10" s="1">
        <v>1000</v>
      </c>
    </row>
    <row r="11" spans="1:16" x14ac:dyDescent="0.25">
      <c r="A11" s="13" t="s">
        <v>5</v>
      </c>
      <c r="B11" s="1">
        <v>500</v>
      </c>
    </row>
    <row r="12" spans="1:16" x14ac:dyDescent="0.25">
      <c r="A12" s="13" t="s">
        <v>6</v>
      </c>
      <c r="B12" s="1">
        <v>500</v>
      </c>
      <c r="I12" s="32" t="s">
        <v>51</v>
      </c>
      <c r="J12" s="32"/>
      <c r="K12" s="32"/>
    </row>
    <row r="13" spans="1:16" x14ac:dyDescent="0.25">
      <c r="A13" s="13" t="s">
        <v>32</v>
      </c>
      <c r="B13" s="1">
        <v>0</v>
      </c>
    </row>
    <row r="14" spans="1:16" x14ac:dyDescent="0.25">
      <c r="A14" s="13"/>
      <c r="I14" s="12" t="s">
        <v>38</v>
      </c>
    </row>
    <row r="15" spans="1:16" x14ac:dyDescent="0.25">
      <c r="A15" s="13" t="s">
        <v>7</v>
      </c>
      <c r="B15" s="2">
        <f>SUM(B6:B13)</f>
        <v>59500</v>
      </c>
      <c r="I15" s="6"/>
      <c r="J15" s="12" t="s">
        <v>37</v>
      </c>
    </row>
    <row r="16" spans="1:16" x14ac:dyDescent="0.25">
      <c r="A16" s="13" t="s">
        <v>25</v>
      </c>
      <c r="B16" s="1">
        <v>59500</v>
      </c>
      <c r="C16" s="19" t="s">
        <v>46</v>
      </c>
      <c r="I16" s="8"/>
      <c r="J16" s="12" t="s">
        <v>36</v>
      </c>
    </row>
    <row r="17" spans="1:10" x14ac:dyDescent="0.25">
      <c r="A17" s="13" t="s">
        <v>48</v>
      </c>
      <c r="B17" s="2">
        <f>B15-B16</f>
        <v>0</v>
      </c>
      <c r="C17" s="3">
        <v>0.05</v>
      </c>
    </row>
    <row r="18" spans="1:10" x14ac:dyDescent="0.25">
      <c r="A18" s="13"/>
      <c r="I18" s="12" t="s">
        <v>52</v>
      </c>
      <c r="J18" s="13" t="s">
        <v>53</v>
      </c>
    </row>
    <row r="19" spans="1:10" x14ac:dyDescent="0.25">
      <c r="A19" s="13" t="s">
        <v>8</v>
      </c>
      <c r="B19" s="1">
        <v>1200</v>
      </c>
      <c r="I19" s="12" t="s">
        <v>54</v>
      </c>
      <c r="J19" s="13" t="s">
        <v>55</v>
      </c>
    </row>
    <row r="20" spans="1:10" x14ac:dyDescent="0.25">
      <c r="A20" s="13" t="s">
        <v>9</v>
      </c>
      <c r="B20" s="2">
        <f>(B4*B5)/12</f>
        <v>750</v>
      </c>
      <c r="I20" s="12" t="s">
        <v>56</v>
      </c>
      <c r="J20" s="13" t="s">
        <v>57</v>
      </c>
    </row>
    <row r="21" spans="1:10" x14ac:dyDescent="0.25">
      <c r="A21" s="13" t="s">
        <v>11</v>
      </c>
      <c r="B21" s="2">
        <f>B20*C21</f>
        <v>337.5</v>
      </c>
      <c r="C21" s="6">
        <v>0.45</v>
      </c>
    </row>
    <row r="22" spans="1:10" x14ac:dyDescent="0.25">
      <c r="A22" s="13" t="s">
        <v>60</v>
      </c>
      <c r="B22" s="2">
        <f>B20+B21</f>
        <v>1087.5</v>
      </c>
    </row>
    <row r="23" spans="1:10" x14ac:dyDescent="0.25">
      <c r="A23" s="13"/>
    </row>
    <row r="24" spans="1:10" x14ac:dyDescent="0.25">
      <c r="A24" s="13" t="s">
        <v>44</v>
      </c>
      <c r="B24" s="1">
        <v>104</v>
      </c>
      <c r="C24" s="19" t="s">
        <v>47</v>
      </c>
    </row>
    <row r="25" spans="1:10" x14ac:dyDescent="0.25">
      <c r="A25" s="13" t="s">
        <v>23</v>
      </c>
      <c r="B25" s="2">
        <f>B19*C25</f>
        <v>96</v>
      </c>
      <c r="C25" s="3">
        <v>0.08</v>
      </c>
    </row>
    <row r="26" spans="1:10" x14ac:dyDescent="0.25">
      <c r="A26" s="13" t="s">
        <v>12</v>
      </c>
      <c r="B26" s="2">
        <f>B19-B20-B24-B25</f>
        <v>250</v>
      </c>
    </row>
    <row r="27" spans="1:10" x14ac:dyDescent="0.25">
      <c r="A27" s="13" t="s">
        <v>13</v>
      </c>
      <c r="B27" s="2">
        <f>B26*12</f>
        <v>3000</v>
      </c>
    </row>
    <row r="28" spans="1:10" x14ac:dyDescent="0.25">
      <c r="A28" s="13" t="s">
        <v>49</v>
      </c>
      <c r="B28" s="2">
        <f>(B17*C17)/12</f>
        <v>0</v>
      </c>
    </row>
    <row r="29" spans="1:10" x14ac:dyDescent="0.25">
      <c r="A29" s="13" t="s">
        <v>28</v>
      </c>
      <c r="B29" s="2">
        <f>B26-B28</f>
        <v>250</v>
      </c>
    </row>
    <row r="30" spans="1:10" x14ac:dyDescent="0.25">
      <c r="A30" s="13" t="s">
        <v>29</v>
      </c>
      <c r="B30" s="2">
        <f>B29*12</f>
        <v>3000</v>
      </c>
    </row>
    <row r="31" spans="1:10" x14ac:dyDescent="0.25">
      <c r="A31" s="13" t="s">
        <v>33</v>
      </c>
      <c r="B31" s="4">
        <f>(B19*12)/B3</f>
        <v>7.1999999999999995E-2</v>
      </c>
    </row>
    <row r="32" spans="1:10" x14ac:dyDescent="0.25">
      <c r="A32" s="13"/>
    </row>
    <row r="33" spans="1:2" x14ac:dyDescent="0.25">
      <c r="A33" s="13" t="s">
        <v>26</v>
      </c>
      <c r="B33" s="4">
        <f>B27/B15</f>
        <v>5.0420168067226892E-2</v>
      </c>
    </row>
    <row r="34" spans="1:2" x14ac:dyDescent="0.25">
      <c r="A34" s="13" t="s">
        <v>27</v>
      </c>
      <c r="B34" s="4">
        <f>IF(B16&lt;=0,"Infinite",B30/B16)</f>
        <v>5.0420168067226892E-2</v>
      </c>
    </row>
  </sheetData>
  <mergeCells count="2">
    <mergeCell ref="K1:P1"/>
    <mergeCell ref="I12:K12"/>
  </mergeCells>
  <hyperlinks>
    <hyperlink ref="I12" r:id="rId1"/>
  </hyperlinks>
  <pageMargins left="0.7" right="0.7" top="0.75" bottom="0.75" header="0.3" footer="0.3"/>
  <pageSetup paperSize="9" orientation="portrait" horizontalDpi="4294967293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workbookViewId="0">
      <selection activeCell="A75" sqref="A75"/>
    </sheetView>
  </sheetViews>
  <sheetFormatPr defaultRowHeight="15" x14ac:dyDescent="0.25"/>
  <cols>
    <col min="1" max="1" width="24.85546875" style="12" bestFit="1" customWidth="1"/>
    <col min="2" max="2" width="12.5703125" style="12" bestFit="1" customWidth="1"/>
    <col min="3" max="3" width="7.140625" style="12" bestFit="1" customWidth="1"/>
    <col min="4" max="4" width="9.140625" style="12"/>
    <col min="5" max="5" width="30.140625" style="12" bestFit="1" customWidth="1"/>
    <col min="6" max="6" width="12.5703125" style="12" customWidth="1"/>
    <col min="7" max="7" width="7.140625" style="12" bestFit="1" customWidth="1"/>
    <col min="8" max="8" width="11.5703125" style="12" customWidth="1"/>
    <col min="9" max="9" width="9.140625" style="12"/>
    <col min="10" max="10" width="14.42578125" style="12" bestFit="1" customWidth="1"/>
    <col min="11" max="11" width="18.140625" style="12" customWidth="1"/>
    <col min="12" max="12" width="14.28515625" style="12" customWidth="1"/>
    <col min="13" max="13" width="7.140625" style="12" customWidth="1"/>
    <col min="14" max="14" width="25.140625" style="12" customWidth="1"/>
    <col min="15" max="15" width="12.5703125" style="12" customWidth="1"/>
    <col min="16" max="16" width="7.140625" style="12" customWidth="1"/>
    <col min="17" max="16384" width="9.140625" style="12"/>
  </cols>
  <sheetData>
    <row r="1" spans="1:16" x14ac:dyDescent="0.25">
      <c r="A1" s="11" t="s">
        <v>15</v>
      </c>
      <c r="E1" s="11" t="s">
        <v>16</v>
      </c>
      <c r="K1" s="31"/>
      <c r="L1" s="31"/>
      <c r="M1" s="31"/>
      <c r="N1" s="31"/>
      <c r="O1" s="31"/>
      <c r="P1" s="31"/>
    </row>
    <row r="3" spans="1:16" x14ac:dyDescent="0.25">
      <c r="A3" s="13" t="s">
        <v>40</v>
      </c>
      <c r="B3" s="1">
        <v>230000</v>
      </c>
      <c r="C3" s="12" t="s">
        <v>39</v>
      </c>
      <c r="E3" s="13" t="s">
        <v>42</v>
      </c>
      <c r="F3" s="9">
        <v>230000</v>
      </c>
    </row>
    <row r="4" spans="1:16" x14ac:dyDescent="0.25">
      <c r="A4" s="13" t="s">
        <v>0</v>
      </c>
      <c r="B4" s="1">
        <v>200000</v>
      </c>
      <c r="C4" s="7">
        <f>B4/B3</f>
        <v>0.86956521739130432</v>
      </c>
      <c r="E4" s="13" t="s">
        <v>43</v>
      </c>
      <c r="F4" s="2">
        <f>F3*G4</f>
        <v>172500</v>
      </c>
      <c r="G4" s="3">
        <v>0.75</v>
      </c>
    </row>
    <row r="5" spans="1:16" x14ac:dyDescent="0.25">
      <c r="A5" s="13" t="s">
        <v>1</v>
      </c>
      <c r="B5" s="2">
        <f>B4*C5</f>
        <v>150000</v>
      </c>
      <c r="C5" s="3">
        <v>0.75</v>
      </c>
      <c r="E5" s="13" t="s">
        <v>10</v>
      </c>
      <c r="F5" s="3">
        <v>0.04</v>
      </c>
    </row>
    <row r="6" spans="1:16" x14ac:dyDescent="0.25">
      <c r="A6" s="13" t="s">
        <v>10</v>
      </c>
      <c r="B6" s="3">
        <v>0.04</v>
      </c>
      <c r="E6" s="13" t="s">
        <v>17</v>
      </c>
      <c r="F6" s="10">
        <f>F3-F4</f>
        <v>57500</v>
      </c>
    </row>
    <row r="7" spans="1:16" x14ac:dyDescent="0.25">
      <c r="A7" s="13" t="s">
        <v>2</v>
      </c>
      <c r="B7" s="2">
        <f>B4-B5</f>
        <v>50000</v>
      </c>
      <c r="C7" s="19" t="s">
        <v>47</v>
      </c>
      <c r="E7" s="13" t="s">
        <v>50</v>
      </c>
      <c r="F7" s="2">
        <f>IF((B18-(F4-B5))&lt;0,0,B18-(F4-B5))</f>
        <v>0</v>
      </c>
      <c r="G7" s="20"/>
      <c r="H7" s="20"/>
    </row>
    <row r="8" spans="1:16" x14ac:dyDescent="0.25">
      <c r="A8" s="13" t="s">
        <v>20</v>
      </c>
      <c r="B8" s="2">
        <f>B4*C8</f>
        <v>2000</v>
      </c>
      <c r="C8" s="3">
        <v>0.01</v>
      </c>
      <c r="E8" s="13" t="s">
        <v>30</v>
      </c>
      <c r="F8" s="2">
        <f>IF(AND((B18-(F4-B5)&lt;0),B17+((B18-(F4-B5)))&gt;0),B17+((B18-(F4-B5))),IF(B17+((B18-(F4-B5)))&lt;0,0,B17))</f>
        <v>39000</v>
      </c>
      <c r="G8" s="22"/>
    </row>
    <row r="9" spans="1:16" x14ac:dyDescent="0.25">
      <c r="A9" s="13"/>
      <c r="E9" s="13" t="s">
        <v>31</v>
      </c>
      <c r="F9" s="2">
        <f>IF(B17+((B18-(F4-B5)))&lt;0,0-(B17+((B18-(F4-B5)))),0)</f>
        <v>0</v>
      </c>
    </row>
    <row r="10" spans="1:16" x14ac:dyDescent="0.25">
      <c r="A10" s="13" t="s">
        <v>3</v>
      </c>
      <c r="B10" s="2">
        <f>SUMPRODUCT(--(B4&gt;{125000;250000;925000;1500000}), (B4-{125000;250000;925000;1500000}), {0.02;0.03;0.05;0.02})+(B4*0.03)</f>
        <v>7500</v>
      </c>
      <c r="E10" s="13"/>
    </row>
    <row r="11" spans="1:16" x14ac:dyDescent="0.25">
      <c r="A11" s="13" t="s">
        <v>4</v>
      </c>
      <c r="B11" s="1">
        <v>1000</v>
      </c>
      <c r="E11" s="13" t="s">
        <v>9</v>
      </c>
      <c r="F11" s="2">
        <f>(F4*F5)/12</f>
        <v>575</v>
      </c>
    </row>
    <row r="12" spans="1:16" x14ac:dyDescent="0.25">
      <c r="A12" s="13" t="s">
        <v>5</v>
      </c>
      <c r="B12" s="1">
        <v>500</v>
      </c>
      <c r="E12" s="13" t="s">
        <v>11</v>
      </c>
      <c r="F12" s="2">
        <f>F11*0.45</f>
        <v>258.75</v>
      </c>
      <c r="I12" s="32" t="s">
        <v>51</v>
      </c>
      <c r="J12" s="32"/>
      <c r="K12" s="32"/>
    </row>
    <row r="13" spans="1:16" x14ac:dyDescent="0.25">
      <c r="A13" s="13" t="s">
        <v>6</v>
      </c>
      <c r="B13" s="1">
        <v>500</v>
      </c>
      <c r="E13" s="13" t="s">
        <v>60</v>
      </c>
      <c r="F13" s="2">
        <f>F11+F12</f>
        <v>833.75</v>
      </c>
    </row>
    <row r="14" spans="1:16" x14ac:dyDescent="0.25">
      <c r="A14" s="13" t="s">
        <v>32</v>
      </c>
      <c r="B14" s="1">
        <v>0</v>
      </c>
      <c r="E14" s="13"/>
      <c r="I14" s="12" t="s">
        <v>38</v>
      </c>
    </row>
    <row r="15" spans="1:16" x14ac:dyDescent="0.25">
      <c r="A15" s="13"/>
      <c r="E15" s="23" t="s">
        <v>45</v>
      </c>
      <c r="F15" s="1">
        <v>750</v>
      </c>
      <c r="I15" s="6"/>
      <c r="J15" s="12" t="s">
        <v>37</v>
      </c>
    </row>
    <row r="16" spans="1:16" x14ac:dyDescent="0.25">
      <c r="A16" s="13" t="s">
        <v>7</v>
      </c>
      <c r="B16" s="2">
        <f>SUM(B7:B14)</f>
        <v>61500</v>
      </c>
      <c r="E16" s="13" t="s">
        <v>44</v>
      </c>
      <c r="F16" s="2">
        <f>B25</f>
        <v>50</v>
      </c>
      <c r="I16" s="8"/>
      <c r="J16" s="12" t="s">
        <v>36</v>
      </c>
    </row>
    <row r="17" spans="1:10" x14ac:dyDescent="0.25">
      <c r="A17" s="13" t="s">
        <v>25</v>
      </c>
      <c r="B17" s="1">
        <v>59500</v>
      </c>
      <c r="C17" s="19" t="s">
        <v>46</v>
      </c>
      <c r="E17" s="13" t="s">
        <v>23</v>
      </c>
      <c r="F17" s="2">
        <f>F15*G17</f>
        <v>75</v>
      </c>
      <c r="G17" s="3">
        <v>0.1</v>
      </c>
    </row>
    <row r="18" spans="1:10" x14ac:dyDescent="0.25">
      <c r="A18" s="13" t="s">
        <v>48</v>
      </c>
      <c r="B18" s="2">
        <f>B16-B17</f>
        <v>2000</v>
      </c>
      <c r="C18" s="3">
        <v>0.06</v>
      </c>
      <c r="E18" s="13" t="s">
        <v>12</v>
      </c>
      <c r="F18" s="2">
        <f>F15-F11-F16-F17</f>
        <v>50</v>
      </c>
      <c r="I18" s="12" t="s">
        <v>52</v>
      </c>
      <c r="J18" s="13" t="s">
        <v>53</v>
      </c>
    </row>
    <row r="19" spans="1:10" x14ac:dyDescent="0.25">
      <c r="A19" s="13"/>
      <c r="E19" s="13" t="s">
        <v>13</v>
      </c>
      <c r="F19" s="2">
        <f>F18*12</f>
        <v>600</v>
      </c>
      <c r="I19" s="12" t="s">
        <v>54</v>
      </c>
      <c r="J19" s="13" t="s">
        <v>55</v>
      </c>
    </row>
    <row r="20" spans="1:10" x14ac:dyDescent="0.25">
      <c r="A20" s="13" t="s">
        <v>8</v>
      </c>
      <c r="B20" s="1">
        <v>750</v>
      </c>
      <c r="E20" s="13" t="s">
        <v>49</v>
      </c>
      <c r="F20" s="2">
        <f>(F7*C18)/12</f>
        <v>0</v>
      </c>
      <c r="I20" s="12" t="s">
        <v>56</v>
      </c>
      <c r="J20" s="13" t="s">
        <v>57</v>
      </c>
    </row>
    <row r="21" spans="1:10" x14ac:dyDescent="0.25">
      <c r="A21" s="13" t="s">
        <v>9</v>
      </c>
      <c r="B21" s="2">
        <f>(B5*B6)/12</f>
        <v>500</v>
      </c>
      <c r="E21" s="13" t="s">
        <v>28</v>
      </c>
      <c r="F21" s="2">
        <f>F18-F20</f>
        <v>50</v>
      </c>
    </row>
    <row r="22" spans="1:10" x14ac:dyDescent="0.25">
      <c r="A22" s="13" t="s">
        <v>11</v>
      </c>
      <c r="B22" s="2">
        <f>B21*C22</f>
        <v>225</v>
      </c>
      <c r="C22" s="6">
        <v>0.45</v>
      </c>
      <c r="E22" s="13" t="s">
        <v>29</v>
      </c>
      <c r="F22" s="2">
        <f>F21*12</f>
        <v>600</v>
      </c>
    </row>
    <row r="23" spans="1:10" x14ac:dyDescent="0.25">
      <c r="A23" s="13" t="s">
        <v>60</v>
      </c>
      <c r="B23" s="2">
        <f>B21+B22</f>
        <v>725</v>
      </c>
      <c r="E23" s="13"/>
    </row>
    <row r="24" spans="1:10" x14ac:dyDescent="0.25">
      <c r="A24" s="13"/>
      <c r="E24" s="13" t="s">
        <v>26</v>
      </c>
      <c r="F24" s="4">
        <f>IF(AND(F7&lt;=0,F8&lt;=0),"Infinite",F19/(F7+F8))</f>
        <v>1.5384615384615385E-2</v>
      </c>
      <c r="G24" s="24"/>
    </row>
    <row r="25" spans="1:10" x14ac:dyDescent="0.25">
      <c r="A25" s="13" t="s">
        <v>44</v>
      </c>
      <c r="B25" s="1">
        <v>50</v>
      </c>
      <c r="C25" s="19" t="s">
        <v>47</v>
      </c>
      <c r="E25" s="13" t="s">
        <v>27</v>
      </c>
      <c r="F25" s="4">
        <f>IF(F8&lt;=0,"Infinite",F22/F8)</f>
        <v>1.5384615384615385E-2</v>
      </c>
    </row>
    <row r="26" spans="1:10" x14ac:dyDescent="0.25">
      <c r="A26" s="13" t="s">
        <v>23</v>
      </c>
      <c r="B26" s="2">
        <f>B20*C26</f>
        <v>75</v>
      </c>
      <c r="C26" s="3">
        <v>0.1</v>
      </c>
      <c r="E26" s="13"/>
    </row>
    <row r="27" spans="1:10" x14ac:dyDescent="0.25">
      <c r="A27" s="13" t="s">
        <v>12</v>
      </c>
      <c r="B27" s="2">
        <f>B20-B21-B25-B26</f>
        <v>125</v>
      </c>
      <c r="E27" s="13" t="s">
        <v>41</v>
      </c>
      <c r="F27" s="4">
        <f>F19/F6</f>
        <v>1.0434782608695653E-2</v>
      </c>
    </row>
    <row r="28" spans="1:10" x14ac:dyDescent="0.25">
      <c r="A28" s="13" t="s">
        <v>13</v>
      </c>
      <c r="B28" s="2">
        <f>B27*12</f>
        <v>1500</v>
      </c>
      <c r="E28" s="13"/>
    </row>
    <row r="29" spans="1:10" x14ac:dyDescent="0.25">
      <c r="A29" s="13" t="s">
        <v>49</v>
      </c>
      <c r="B29" s="2">
        <f>(B18*C18)/12</f>
        <v>10</v>
      </c>
      <c r="E29" s="11" t="s">
        <v>58</v>
      </c>
    </row>
    <row r="30" spans="1:10" x14ac:dyDescent="0.25">
      <c r="A30" s="13" t="s">
        <v>28</v>
      </c>
      <c r="B30" s="2">
        <f>B27-B29</f>
        <v>115</v>
      </c>
      <c r="E30" s="13" t="s">
        <v>19</v>
      </c>
      <c r="F30" s="2">
        <f>B3*G30</f>
        <v>2300</v>
      </c>
      <c r="G30" s="3">
        <v>0.01</v>
      </c>
    </row>
    <row r="31" spans="1:10" x14ac:dyDescent="0.25">
      <c r="A31" s="13" t="s">
        <v>29</v>
      </c>
      <c r="B31" s="2">
        <f>B30*12</f>
        <v>1380</v>
      </c>
      <c r="E31" s="13" t="s">
        <v>4</v>
      </c>
      <c r="F31" s="1">
        <v>1200</v>
      </c>
    </row>
    <row r="32" spans="1:10" x14ac:dyDescent="0.25">
      <c r="A32" s="13" t="s">
        <v>33</v>
      </c>
      <c r="B32" s="4">
        <f>(B20*12)/B4</f>
        <v>4.4999999999999998E-2</v>
      </c>
      <c r="E32" s="13" t="s">
        <v>59</v>
      </c>
      <c r="F32" s="6">
        <v>5</v>
      </c>
    </row>
    <row r="33" spans="1:7" x14ac:dyDescent="0.25">
      <c r="A33" s="13"/>
      <c r="E33" s="13" t="s">
        <v>35</v>
      </c>
      <c r="F33" s="10">
        <f>F3</f>
        <v>230000</v>
      </c>
    </row>
    <row r="34" spans="1:7" x14ac:dyDescent="0.25">
      <c r="A34" s="13" t="s">
        <v>26</v>
      </c>
      <c r="B34" s="4">
        <f>B28/B16</f>
        <v>2.4390243902439025E-2</v>
      </c>
      <c r="E34" s="13" t="s">
        <v>34</v>
      </c>
      <c r="F34" s="2">
        <f>B16+F30+F31+((B25+B21+B29)*F32)</f>
        <v>67800</v>
      </c>
    </row>
    <row r="35" spans="1:7" x14ac:dyDescent="0.25">
      <c r="A35" s="13" t="s">
        <v>27</v>
      </c>
      <c r="B35" s="4">
        <f>IF(B17&lt;=0,"Infinite",B31/B17)</f>
        <v>2.3193277310924371E-2</v>
      </c>
      <c r="E35" s="13" t="s">
        <v>18</v>
      </c>
      <c r="F35" s="10">
        <f>F33-B5-F34</f>
        <v>12200</v>
      </c>
    </row>
    <row r="36" spans="1:7" x14ac:dyDescent="0.25">
      <c r="E36" s="13" t="s">
        <v>21</v>
      </c>
      <c r="F36" s="4">
        <f>F35/F34</f>
        <v>0.17994100294985252</v>
      </c>
    </row>
    <row r="38" spans="1:7" x14ac:dyDescent="0.25">
      <c r="A38" s="14" t="s">
        <v>22</v>
      </c>
      <c r="B38" s="25"/>
      <c r="C38" s="25"/>
      <c r="D38" s="25"/>
      <c r="E38" s="26" t="s">
        <v>58</v>
      </c>
      <c r="F38" s="25"/>
      <c r="G38" s="15"/>
    </row>
    <row r="39" spans="1:7" x14ac:dyDescent="0.25">
      <c r="A39" s="16"/>
      <c r="B39" s="27"/>
      <c r="C39" s="27"/>
      <c r="D39" s="27"/>
      <c r="E39" s="23" t="s">
        <v>19</v>
      </c>
      <c r="F39" s="2">
        <f>F3*G39</f>
        <v>2300</v>
      </c>
      <c r="G39" s="3">
        <v>0.01</v>
      </c>
    </row>
    <row r="40" spans="1:7" x14ac:dyDescent="0.25">
      <c r="A40" s="18" t="s">
        <v>7</v>
      </c>
      <c r="B40" s="2">
        <f>B4+B8+B10+B11+B14</f>
        <v>210500</v>
      </c>
      <c r="C40" s="27"/>
      <c r="D40" s="27"/>
      <c r="E40" s="23" t="s">
        <v>4</v>
      </c>
      <c r="F40" s="1">
        <v>1000</v>
      </c>
      <c r="G40" s="17"/>
    </row>
    <row r="41" spans="1:7" x14ac:dyDescent="0.25">
      <c r="A41" s="18" t="s">
        <v>12</v>
      </c>
      <c r="B41" s="2">
        <f>B20-B25-B26</f>
        <v>625</v>
      </c>
      <c r="C41" s="27"/>
      <c r="D41" s="27"/>
      <c r="E41" s="23" t="s">
        <v>18</v>
      </c>
      <c r="F41" s="10">
        <f>F3-B40-F39-F40</f>
        <v>16200</v>
      </c>
      <c r="G41" s="17"/>
    </row>
    <row r="42" spans="1:7" x14ac:dyDescent="0.25">
      <c r="A42" s="18" t="s">
        <v>13</v>
      </c>
      <c r="B42" s="2">
        <f>B41*12</f>
        <v>7500</v>
      </c>
      <c r="C42" s="27"/>
      <c r="D42" s="27"/>
      <c r="E42" s="23" t="s">
        <v>21</v>
      </c>
      <c r="F42" s="4">
        <f>F41/B40</f>
        <v>7.6959619952494063E-2</v>
      </c>
      <c r="G42" s="17"/>
    </row>
    <row r="43" spans="1:7" x14ac:dyDescent="0.25">
      <c r="A43" s="18"/>
      <c r="B43" s="27"/>
      <c r="C43" s="27"/>
      <c r="D43" s="27"/>
      <c r="E43" s="27"/>
      <c r="F43" s="27"/>
      <c r="G43" s="17"/>
    </row>
    <row r="44" spans="1:7" x14ac:dyDescent="0.25">
      <c r="A44" s="21" t="s">
        <v>14</v>
      </c>
      <c r="B44" s="4">
        <f>B42/B40</f>
        <v>3.5629453681710214E-2</v>
      </c>
      <c r="C44" s="28"/>
      <c r="D44" s="28"/>
      <c r="E44" s="28"/>
      <c r="F44" s="28"/>
      <c r="G44" s="29"/>
    </row>
  </sheetData>
  <mergeCells count="2">
    <mergeCell ref="K1:P1"/>
    <mergeCell ref="I12:K12"/>
  </mergeCells>
  <hyperlinks>
    <hyperlink ref="I12" r:id="rId1"/>
  </hyperlinks>
  <pageMargins left="0.7" right="0.7" top="0.75" bottom="0.75" header="0.3" footer="0.3"/>
  <pageSetup paperSize="9" orientation="portrait" horizontalDpi="4294967293" verticalDpi="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workbookViewId="0">
      <selection activeCell="A71" sqref="A71"/>
    </sheetView>
  </sheetViews>
  <sheetFormatPr defaultRowHeight="15" x14ac:dyDescent="0.25"/>
  <cols>
    <col min="1" max="1" width="25.85546875" style="12" bestFit="1" customWidth="1"/>
    <col min="2" max="2" width="12.5703125" style="12" bestFit="1" customWidth="1"/>
    <col min="3" max="3" width="7.140625" style="12" bestFit="1" customWidth="1"/>
    <col min="4" max="4" width="9.140625" style="12"/>
    <col min="5" max="5" width="30.140625" style="12" bestFit="1" customWidth="1"/>
    <col min="6" max="6" width="12.5703125" style="12" customWidth="1"/>
    <col min="7" max="7" width="7.140625" style="12" bestFit="1" customWidth="1"/>
    <col min="8" max="8" width="11.5703125" style="12" customWidth="1"/>
    <col min="9" max="9" width="9.140625" style="12"/>
    <col min="10" max="10" width="14.42578125" style="12" bestFit="1" customWidth="1"/>
    <col min="11" max="11" width="18.140625" style="12" customWidth="1"/>
    <col min="12" max="12" width="14.28515625" style="12" customWidth="1"/>
    <col min="13" max="13" width="7.140625" style="12" customWidth="1"/>
    <col min="14" max="14" width="25.140625" style="12" customWidth="1"/>
    <col min="15" max="15" width="12.5703125" style="12" customWidth="1"/>
    <col min="16" max="16" width="7.140625" style="12" customWidth="1"/>
    <col min="17" max="16384" width="9.140625" style="12"/>
  </cols>
  <sheetData>
    <row r="1" spans="1:16" x14ac:dyDescent="0.25">
      <c r="A1" s="11" t="s">
        <v>15</v>
      </c>
      <c r="E1" s="11" t="s">
        <v>16</v>
      </c>
      <c r="K1" s="31"/>
      <c r="L1" s="31"/>
      <c r="M1" s="31"/>
      <c r="N1" s="31"/>
      <c r="O1" s="31"/>
      <c r="P1" s="31"/>
    </row>
    <row r="3" spans="1:16" x14ac:dyDescent="0.25">
      <c r="A3" s="13" t="s">
        <v>40</v>
      </c>
      <c r="B3" s="1">
        <v>200000</v>
      </c>
      <c r="C3" s="12" t="s">
        <v>39</v>
      </c>
      <c r="E3" s="13" t="s">
        <v>42</v>
      </c>
      <c r="F3" s="9">
        <v>255000</v>
      </c>
    </row>
    <row r="4" spans="1:16" x14ac:dyDescent="0.25">
      <c r="A4" s="13" t="s">
        <v>0</v>
      </c>
      <c r="B4" s="1">
        <v>150000</v>
      </c>
      <c r="C4" s="7">
        <f>B4/B3</f>
        <v>0.75</v>
      </c>
      <c r="E4" s="13" t="s">
        <v>43</v>
      </c>
      <c r="F4" s="2">
        <f>F3*G4</f>
        <v>191250</v>
      </c>
      <c r="G4" s="3">
        <v>0.75</v>
      </c>
    </row>
    <row r="5" spans="1:16" x14ac:dyDescent="0.25">
      <c r="A5" s="13" t="s">
        <v>1</v>
      </c>
      <c r="B5" s="2">
        <f>B4*C5</f>
        <v>112500</v>
      </c>
      <c r="C5" s="3">
        <v>0.75</v>
      </c>
      <c r="E5" s="13" t="s">
        <v>10</v>
      </c>
      <c r="F5" s="3">
        <v>0.06</v>
      </c>
    </row>
    <row r="6" spans="1:16" x14ac:dyDescent="0.25">
      <c r="A6" s="13" t="s">
        <v>10</v>
      </c>
      <c r="B6" s="3">
        <v>0.06</v>
      </c>
      <c r="E6" s="13" t="s">
        <v>17</v>
      </c>
      <c r="F6" s="10">
        <f>F3-F4</f>
        <v>63750</v>
      </c>
    </row>
    <row r="7" spans="1:16" x14ac:dyDescent="0.25">
      <c r="A7" s="13" t="s">
        <v>2</v>
      </c>
      <c r="B7" s="2">
        <f>B4-B5</f>
        <v>37500</v>
      </c>
      <c r="C7" s="19" t="s">
        <v>47</v>
      </c>
      <c r="E7" s="13" t="s">
        <v>50</v>
      </c>
      <c r="F7" s="2">
        <f>IF((B18-(F4-B5))&lt;0,0,B18-(F4-B5))</f>
        <v>0</v>
      </c>
      <c r="G7" s="20"/>
      <c r="H7" s="20"/>
    </row>
    <row r="8" spans="1:16" x14ac:dyDescent="0.25">
      <c r="A8" s="13" t="s">
        <v>20</v>
      </c>
      <c r="B8" s="2">
        <f>B4*C8</f>
        <v>0</v>
      </c>
      <c r="C8" s="3">
        <v>0</v>
      </c>
      <c r="E8" s="13" t="s">
        <v>30</v>
      </c>
      <c r="F8" s="2">
        <f>IF(AND((B18-(F4-B5)&lt;0),B17+((B18-(F4-B5)))&gt;0),B17+((B18-(F4-B5))),IF(B17+((B18-(F4-B5)))&lt;0,0,B17))</f>
        <v>0</v>
      </c>
      <c r="G8" s="22"/>
    </row>
    <row r="9" spans="1:16" x14ac:dyDescent="0.25">
      <c r="A9" s="13"/>
      <c r="E9" s="13" t="s">
        <v>31</v>
      </c>
      <c r="F9" s="2">
        <f>IF(B17+((B18-(F4-B5)))&lt;0,0-(B17+((B18-(F4-B5)))),0)</f>
        <v>675</v>
      </c>
    </row>
    <row r="10" spans="1:16" x14ac:dyDescent="0.25">
      <c r="A10" s="13" t="s">
        <v>3</v>
      </c>
      <c r="B10" s="2">
        <f>SUMPRODUCT(--(B4&gt;{125000;250000;925000;1500000}), (B4-{125000;250000;925000;1500000}), {0.02;0.03;0.05;0.02})+(B4*0.03)</f>
        <v>5000</v>
      </c>
      <c r="E10" s="13"/>
    </row>
    <row r="11" spans="1:16" x14ac:dyDescent="0.25">
      <c r="A11" s="13" t="s">
        <v>24</v>
      </c>
      <c r="B11" s="1">
        <v>29000</v>
      </c>
      <c r="E11" s="13" t="s">
        <v>9</v>
      </c>
      <c r="F11" s="2">
        <f>(F4*F5)/12</f>
        <v>956.25</v>
      </c>
    </row>
    <row r="12" spans="1:16" x14ac:dyDescent="0.25">
      <c r="A12" s="13" t="s">
        <v>4</v>
      </c>
      <c r="B12" s="1">
        <v>1000</v>
      </c>
      <c r="E12" s="13" t="s">
        <v>11</v>
      </c>
      <c r="F12" s="2">
        <f>F11*0.45</f>
        <v>430.3125</v>
      </c>
      <c r="I12" s="32" t="s">
        <v>51</v>
      </c>
      <c r="J12" s="32"/>
      <c r="K12" s="32"/>
    </row>
    <row r="13" spans="1:16" x14ac:dyDescent="0.25">
      <c r="A13" s="13" t="s">
        <v>5</v>
      </c>
      <c r="B13" s="1">
        <v>500</v>
      </c>
      <c r="E13" s="13" t="s">
        <v>60</v>
      </c>
      <c r="F13" s="2">
        <f>F11+F12</f>
        <v>1386.5625</v>
      </c>
    </row>
    <row r="14" spans="1:16" x14ac:dyDescent="0.25">
      <c r="A14" s="13" t="s">
        <v>6</v>
      </c>
      <c r="B14" s="1">
        <v>500</v>
      </c>
      <c r="E14" s="13"/>
      <c r="I14" s="12" t="s">
        <v>38</v>
      </c>
    </row>
    <row r="15" spans="1:16" x14ac:dyDescent="0.25">
      <c r="A15" s="13" t="s">
        <v>32</v>
      </c>
      <c r="B15" s="1">
        <v>0</v>
      </c>
      <c r="E15" s="23" t="s">
        <v>45</v>
      </c>
      <c r="F15" s="1">
        <v>1400</v>
      </c>
      <c r="I15" s="6"/>
      <c r="J15" s="12" t="s">
        <v>37</v>
      </c>
    </row>
    <row r="16" spans="1:16" x14ac:dyDescent="0.25">
      <c r="A16" s="13"/>
      <c r="E16" s="13" t="s">
        <v>44</v>
      </c>
      <c r="F16" s="1">
        <v>88</v>
      </c>
      <c r="G16" s="19" t="s">
        <v>47</v>
      </c>
      <c r="I16" s="8"/>
      <c r="J16" s="12" t="s">
        <v>36</v>
      </c>
    </row>
    <row r="17" spans="1:10" x14ac:dyDescent="0.25">
      <c r="A17" s="13" t="s">
        <v>25</v>
      </c>
      <c r="B17" s="1">
        <v>78075</v>
      </c>
      <c r="C17" s="19" t="s">
        <v>46</v>
      </c>
      <c r="E17" s="13" t="s">
        <v>23</v>
      </c>
      <c r="F17" s="2">
        <f>F15*G17</f>
        <v>112</v>
      </c>
      <c r="G17" s="3">
        <v>0.08</v>
      </c>
    </row>
    <row r="18" spans="1:10" x14ac:dyDescent="0.25">
      <c r="A18" s="13" t="s">
        <v>48</v>
      </c>
      <c r="B18" s="1">
        <v>0</v>
      </c>
      <c r="C18" s="3">
        <v>0.06</v>
      </c>
      <c r="E18" s="13" t="s">
        <v>12</v>
      </c>
      <c r="F18" s="2">
        <f>F15-F11-F16-F17</f>
        <v>243.75</v>
      </c>
      <c r="I18" s="12" t="s">
        <v>52</v>
      </c>
      <c r="J18" s="13" t="s">
        <v>53</v>
      </c>
    </row>
    <row r="19" spans="1:10" x14ac:dyDescent="0.25">
      <c r="A19" s="30" t="s">
        <v>63</v>
      </c>
      <c r="B19" s="2">
        <f>B17+B18</f>
        <v>78075</v>
      </c>
      <c r="E19" s="13" t="s">
        <v>13</v>
      </c>
      <c r="F19" s="2">
        <f>F18*12</f>
        <v>2925</v>
      </c>
      <c r="I19" s="12" t="s">
        <v>54</v>
      </c>
      <c r="J19" s="13" t="s">
        <v>55</v>
      </c>
    </row>
    <row r="20" spans="1:10" x14ac:dyDescent="0.25">
      <c r="A20" s="13"/>
      <c r="E20" s="13" t="s">
        <v>49</v>
      </c>
      <c r="F20" s="2">
        <f>(F7*C18)/12</f>
        <v>0</v>
      </c>
      <c r="I20" s="12" t="s">
        <v>56</v>
      </c>
      <c r="J20" s="13" t="s">
        <v>57</v>
      </c>
    </row>
    <row r="21" spans="1:10" x14ac:dyDescent="0.25">
      <c r="A21" s="13" t="s">
        <v>8</v>
      </c>
      <c r="B21" s="1">
        <v>0</v>
      </c>
      <c r="E21" s="13" t="s">
        <v>28</v>
      </c>
      <c r="F21" s="2">
        <f>F18-F20</f>
        <v>243.75</v>
      </c>
    </row>
    <row r="22" spans="1:10" x14ac:dyDescent="0.25">
      <c r="A22" s="13" t="s">
        <v>9</v>
      </c>
      <c r="B22" s="2">
        <f>(B5*B6)/12</f>
        <v>562.5</v>
      </c>
      <c r="E22" s="13" t="s">
        <v>29</v>
      </c>
      <c r="F22" s="2">
        <f>F21*12</f>
        <v>2925</v>
      </c>
    </row>
    <row r="23" spans="1:10" x14ac:dyDescent="0.25">
      <c r="A23" s="13" t="s">
        <v>11</v>
      </c>
      <c r="B23" s="2">
        <f>B22*C23</f>
        <v>253.125</v>
      </c>
      <c r="C23" s="6">
        <v>0.45</v>
      </c>
      <c r="E23" s="13"/>
    </row>
    <row r="24" spans="1:10" x14ac:dyDescent="0.25">
      <c r="A24" s="13" t="s">
        <v>60</v>
      </c>
      <c r="B24" s="2">
        <f>B22+B23</f>
        <v>815.625</v>
      </c>
      <c r="E24" s="13" t="s">
        <v>26</v>
      </c>
      <c r="F24" s="4" t="str">
        <f>IF(AND(F7&lt;=0,F8&lt;=0),"Infinite",F19/(F7+F8))</f>
        <v>Infinite</v>
      </c>
      <c r="G24" s="24"/>
    </row>
    <row r="25" spans="1:10" x14ac:dyDescent="0.25">
      <c r="A25" s="13"/>
      <c r="E25" s="13" t="s">
        <v>27</v>
      </c>
      <c r="F25" s="4" t="str">
        <f>IF(F8&lt;=0,"Infinite",F22/F8)</f>
        <v>Infinite</v>
      </c>
    </row>
    <row r="26" spans="1:10" x14ac:dyDescent="0.25">
      <c r="A26" s="13" t="s">
        <v>44</v>
      </c>
      <c r="B26" s="1">
        <v>200</v>
      </c>
      <c r="C26" s="19"/>
      <c r="E26" s="13"/>
    </row>
    <row r="27" spans="1:10" x14ac:dyDescent="0.25">
      <c r="A27" s="13" t="s">
        <v>61</v>
      </c>
      <c r="B27" s="5">
        <v>6</v>
      </c>
      <c r="E27" s="13" t="s">
        <v>41</v>
      </c>
      <c r="F27" s="4">
        <f>F19/F6</f>
        <v>4.5882352941176471E-2</v>
      </c>
    </row>
    <row r="28" spans="1:10" x14ac:dyDescent="0.25">
      <c r="A28" s="13" t="s">
        <v>12</v>
      </c>
      <c r="B28" s="2">
        <f>B21-B22-B26</f>
        <v>-762.5</v>
      </c>
      <c r="E28" s="13"/>
    </row>
    <row r="29" spans="1:10" x14ac:dyDescent="0.25">
      <c r="A29" s="13" t="s">
        <v>49</v>
      </c>
      <c r="B29" s="2">
        <f>((B18*C18)/12)</f>
        <v>0</v>
      </c>
      <c r="E29" s="11" t="s">
        <v>58</v>
      </c>
      <c r="G29" s="19" t="s">
        <v>47</v>
      </c>
    </row>
    <row r="30" spans="1:10" x14ac:dyDescent="0.25">
      <c r="A30" s="13" t="s">
        <v>62</v>
      </c>
      <c r="B30" s="2">
        <f>(0-(B28*B27))+(B29*B27)</f>
        <v>4575</v>
      </c>
      <c r="E30" s="13" t="s">
        <v>19</v>
      </c>
      <c r="F30" s="2">
        <f>F33*G30</f>
        <v>2550</v>
      </c>
      <c r="G30" s="3">
        <v>0.01</v>
      </c>
    </row>
    <row r="31" spans="1:10" x14ac:dyDescent="0.25">
      <c r="A31" s="19" t="s">
        <v>7</v>
      </c>
      <c r="B31" s="2">
        <f>SUM(B7:B15)+B30</f>
        <v>78075</v>
      </c>
      <c r="E31" s="13" t="s">
        <v>4</v>
      </c>
      <c r="F31" s="1">
        <v>1200</v>
      </c>
    </row>
    <row r="32" spans="1:10" x14ac:dyDescent="0.25">
      <c r="A32" s="13" t="s">
        <v>64</v>
      </c>
      <c r="B32" s="2">
        <f>B19-B31</f>
        <v>0</v>
      </c>
      <c r="E32" s="13" t="s">
        <v>65</v>
      </c>
      <c r="F32" s="6">
        <v>8</v>
      </c>
    </row>
    <row r="33" spans="1:6" x14ac:dyDescent="0.25">
      <c r="E33" s="13" t="s">
        <v>35</v>
      </c>
      <c r="F33" s="9">
        <f>F3</f>
        <v>255000</v>
      </c>
    </row>
    <row r="34" spans="1:6" x14ac:dyDescent="0.25">
      <c r="A34" s="13"/>
      <c r="E34" s="19" t="s">
        <v>34</v>
      </c>
      <c r="F34" s="2">
        <f>SUM(B7:B15)+((B22+B26+B29)*F32)</f>
        <v>79600</v>
      </c>
    </row>
    <row r="35" spans="1:6" x14ac:dyDescent="0.25">
      <c r="E35" s="13" t="s">
        <v>64</v>
      </c>
      <c r="F35" s="2">
        <f>B19-F34</f>
        <v>-1525</v>
      </c>
    </row>
    <row r="36" spans="1:6" x14ac:dyDescent="0.25">
      <c r="E36" s="13" t="s">
        <v>18</v>
      </c>
      <c r="F36" s="10">
        <f>F33-B5-F34</f>
        <v>62900</v>
      </c>
    </row>
    <row r="37" spans="1:6" x14ac:dyDescent="0.25">
      <c r="E37" s="13" t="s">
        <v>21</v>
      </c>
      <c r="F37" s="4">
        <f>F36/F34</f>
        <v>0.79020100502512558</v>
      </c>
    </row>
  </sheetData>
  <mergeCells count="2">
    <mergeCell ref="K1:P1"/>
    <mergeCell ref="I12:K12"/>
  </mergeCells>
  <hyperlinks>
    <hyperlink ref="I12" r:id="rId1"/>
  </hyperlinks>
  <pageMargins left="0.7" right="0.7" top="0.75" bottom="0.75" header="0.3" footer="0.3"/>
  <pageSetup paperSize="9" orientation="portrait" horizontalDpi="4294967293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 Purchase</vt:lpstr>
      <vt:lpstr>BMV Purchase</vt:lpstr>
      <vt:lpstr>BMV &amp; Works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Johnson</dc:creator>
  <cp:lastModifiedBy>Adam Johnson</cp:lastModifiedBy>
  <dcterms:created xsi:type="dcterms:W3CDTF">2017-03-03T18:27:11Z</dcterms:created>
  <dcterms:modified xsi:type="dcterms:W3CDTF">2018-01-25T20:08:00Z</dcterms:modified>
</cp:coreProperties>
</file>